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0890" windowHeight="4770" activeTab="0"/>
  </bookViews>
  <sheets>
    <sheet name="Calcul du PEB" sheetId="1" r:id="rId1"/>
  </sheets>
  <definedNames/>
  <calcPr fullCalcOnLoad="1"/>
</workbook>
</file>

<file path=xl/comments1.xml><?xml version="1.0" encoding="utf-8"?>
<comments xmlns="http://schemas.openxmlformats.org/spreadsheetml/2006/main">
  <authors>
    <author>tf</author>
    <author>TF</author>
  </authors>
  <commentList>
    <comment ref="C11" authorId="0">
      <text>
        <r>
          <rPr>
            <b/>
            <sz val="9"/>
            <rFont val="Tahoma"/>
            <family val="2"/>
          </rPr>
          <t>tf:</t>
        </r>
        <r>
          <rPr>
            <sz val="9"/>
            <rFont val="Tahoma"/>
            <family val="2"/>
          </rPr>
          <t xml:space="preserve">
On ne prend ici en compte que les puissances rajoutées après 2010.
</t>
        </r>
      </text>
    </comment>
    <comment ref="A50" authorId="0">
      <text>
        <r>
          <rPr>
            <b/>
            <sz val="9"/>
            <rFont val="Tahoma"/>
            <family val="2"/>
          </rPr>
          <t>tf:</t>
        </r>
        <r>
          <rPr>
            <sz val="9"/>
            <rFont val="Tahoma"/>
            <family val="2"/>
          </rPr>
          <t xml:space="preserve">
Ratio entre le prix actuel du kWh (estimé à 30€/MWh) les tarifs de rachat des différents modes de production
</t>
        </r>
      </text>
    </comment>
    <comment ref="C49" authorId="1">
      <text>
        <r>
          <rPr>
            <b/>
            <sz val="9"/>
            <rFont val="Tahoma"/>
            <family val="0"/>
          </rPr>
          <t xml:space="preserve">TF: Tarif de 8 c€/kWh pendant 10 ans puis 5.5 après
</t>
        </r>
      </text>
    </comment>
    <comment ref="D49" authorId="1">
      <text>
        <r>
          <rPr>
            <b/>
            <sz val="9"/>
            <rFont val="Tahoma"/>
            <family val="0"/>
          </rPr>
          <t>TF:</t>
        </r>
        <r>
          <rPr>
            <sz val="9"/>
            <rFont val="Tahoma"/>
            <family val="0"/>
          </rPr>
          <t xml:space="preserve">
Tarif de 13 c€/kWh pendant 10 ans puis 8 après</t>
        </r>
      </text>
    </comment>
  </commentList>
</comments>
</file>

<file path=xl/sharedStrings.xml><?xml version="1.0" encoding="utf-8"?>
<sst xmlns="http://schemas.openxmlformats.org/spreadsheetml/2006/main" count="54" uniqueCount="46">
  <si>
    <t>MW</t>
  </si>
  <si>
    <t>h/an</t>
  </si>
  <si>
    <t>MWh/an</t>
  </si>
  <si>
    <t>taux utilisation</t>
  </si>
  <si>
    <t>M€</t>
  </si>
  <si>
    <t>CCCG</t>
  </si>
  <si>
    <t>Éolien terrestre</t>
  </si>
  <si>
    <t>Éolien offshore Ancré et flottant</t>
  </si>
  <si>
    <t>Hydrolien</t>
  </si>
  <si>
    <t>Barrage de la Rance</t>
  </si>
  <si>
    <t>Hydraulique</t>
  </si>
  <si>
    <t>Biomasse dt méthanisation</t>
  </si>
  <si>
    <t>Incinération déchet</t>
  </si>
  <si>
    <t>Photovoltaïque</t>
  </si>
  <si>
    <t>GWh</t>
  </si>
  <si>
    <t>Tarif €/kWh</t>
  </si>
  <si>
    <t>rapport base</t>
  </si>
  <si>
    <t>Taxe</t>
  </si>
  <si>
    <t>Réseau</t>
  </si>
  <si>
    <t>Prod</t>
  </si>
  <si>
    <t>Impact réel du Pact électrique breton (en GWh)</t>
  </si>
  <si>
    <t>Prévision de production supplémentaires lié au Pacte électrique breton (en GWh)</t>
  </si>
  <si>
    <t>Tarif de rachat sur la base des tarifs 2010-2011</t>
  </si>
  <si>
    <t>Coût de la production sur les 25 années, sur la base des coûts de rachat (en million d'euro)</t>
  </si>
  <si>
    <t>Calcul de l'évolution du prix du courant en Bretagne en 2020, sur la base des chiffres du Pacte électrique breton, en prenant les tarifs de rachat actuels</t>
  </si>
  <si>
    <t>GWh/an</t>
  </si>
  <si>
    <t>Cout de revient du MWh produit ou économisé (en euro)</t>
  </si>
  <si>
    <t>Puissance</t>
  </si>
  <si>
    <t>Potentiel annuel</t>
  </si>
  <si>
    <t>Energie potentiel annuel</t>
  </si>
  <si>
    <t>Taux de fonctionnement estimé par an</t>
  </si>
  <si>
    <t>Energie produite par an</t>
  </si>
  <si>
    <t>Centrale à cycle combiné gaz (CCCG)</t>
  </si>
  <si>
    <t>Calcul sur une utilisation en semi base</t>
  </si>
  <si>
    <t>Propositions issue du Pacte électrique breton (en GWh / an)</t>
  </si>
  <si>
    <t>Total EnR</t>
  </si>
  <si>
    <t>Feuille de calcul sur la Pacte électrique breton</t>
  </si>
  <si>
    <t>Somme de l'énergie produite/économisée sur une prériode de 25 années depuis 2010</t>
  </si>
  <si>
    <t>Cout des 23,5 à 2020 TWh sans EnR</t>
  </si>
  <si>
    <t>Cout des réseaux et taxes dans la facture</t>
  </si>
  <si>
    <t>Facture sans EnR</t>
  </si>
  <si>
    <t>Facture avec 1/3 EnR</t>
  </si>
  <si>
    <t>Cout des 23,5 à 2020 TWh avec 1/3 de EnR</t>
  </si>
  <si>
    <t>écart</t>
  </si>
  <si>
    <t>MdE</t>
  </si>
  <si>
    <t>Décomposition du cout électricité dans facture EdF</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</si>
</sst>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_-* #,##0.0\ _€_-;\-* #,##0.0\ _€_-;_-* &quot;-&quot;??\ _€_-;_-@_-"/>
    <numFmt numFmtId="168" formatCode="0.0"/>
    <numFmt numFmtId="169" formatCode="#,##0\ &quot;€&quot;"/>
    <numFmt numFmtId="170" formatCode="00000"/>
    <numFmt numFmtId="171" formatCode="0.E+00"/>
  </numFmts>
  <fonts count="47">
    <font>
      <sz val="11"/>
      <color theme="1"/>
      <name val="Calibri"/>
      <family val="2"/>
    </font>
    <font>
      <sz val="11"/>
      <color indexed="8"/>
      <name val="Calibri"/>
      <family val="2"/>
    </font>
    <font>
      <sz val="9"/>
      <name val="Tahoma"/>
      <family val="2"/>
    </font>
    <font>
      <b/>
      <sz val="9"/>
      <name val="Tahoma"/>
      <family val="2"/>
    </font>
    <font>
      <u val="single"/>
      <sz val="11"/>
      <color indexed="12"/>
      <name val="Calibri"/>
      <family val="2"/>
    </font>
    <font>
      <b/>
      <sz val="14"/>
      <color indexed="8"/>
      <name val="Calibri"/>
      <family val="2"/>
    </font>
    <font>
      <sz val="10"/>
      <color indexed="8"/>
      <name val="Calibri"/>
      <family val="2"/>
    </font>
    <font>
      <b/>
      <sz val="11"/>
      <color indexed="8"/>
      <name val="Calibri"/>
      <family val="2"/>
    </font>
    <font>
      <b/>
      <sz val="2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6"/>
      <color indexed="8"/>
      <name val="Calibri"/>
      <family val="2"/>
    </font>
    <font>
      <b/>
      <u val="single"/>
      <sz val="11"/>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sz val="10"/>
      <color theme="1"/>
      <name val="Calibri"/>
      <family val="2"/>
    </font>
    <font>
      <b/>
      <sz val="2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style="medium"/>
      <top/>
      <bottom/>
    </border>
    <border>
      <left/>
      <right/>
      <top style="medium"/>
      <bottom style="medium"/>
    </border>
    <border>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right style="thin"/>
      <top style="thin"/>
      <bottom style="thin"/>
    </border>
    <border>
      <left/>
      <right style="thin"/>
      <top style="thin"/>
      <bottom style="medium"/>
    </border>
    <border>
      <left/>
      <right style="thin"/>
      <top style="thin"/>
      <bottom/>
    </border>
    <border>
      <left/>
      <right style="thin"/>
      <top style="medium"/>
      <bottom style="medium"/>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95">
    <xf numFmtId="0" fontId="0" fillId="0" borderId="0" xfId="0" applyFont="1" applyAlignment="1">
      <alignment/>
    </xf>
    <xf numFmtId="4" fontId="0" fillId="0" borderId="0" xfId="0" applyNumberFormat="1" applyAlignment="1">
      <alignment/>
    </xf>
    <xf numFmtId="3" fontId="0" fillId="0" borderId="0" xfId="0" applyNumberFormat="1" applyAlignment="1">
      <alignment/>
    </xf>
    <xf numFmtId="9" fontId="0" fillId="0" borderId="0" xfId="51" applyFont="1" applyAlignment="1">
      <alignment/>
    </xf>
    <xf numFmtId="165" fontId="0" fillId="0" borderId="0" xfId="46" applyNumberFormat="1" applyFont="1" applyAlignment="1">
      <alignment/>
    </xf>
    <xf numFmtId="164" fontId="0" fillId="0" borderId="0" xfId="51" applyNumberFormat="1" applyFont="1" applyAlignment="1">
      <alignment/>
    </xf>
    <xf numFmtId="0" fontId="0" fillId="0" borderId="0" xfId="0" applyAlignment="1">
      <alignment textRotation="90" wrapText="1"/>
    </xf>
    <xf numFmtId="43" fontId="0" fillId="0" borderId="0" xfId="46" applyFont="1" applyAlignment="1">
      <alignment/>
    </xf>
    <xf numFmtId="0" fontId="0" fillId="7" borderId="10"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7" borderId="10" xfId="0" applyFill="1" applyBorder="1" applyAlignment="1">
      <alignment horizontal="right"/>
    </xf>
    <xf numFmtId="3" fontId="0" fillId="7" borderId="0" xfId="0" applyNumberFormat="1" applyFill="1" applyBorder="1" applyAlignment="1">
      <alignment/>
    </xf>
    <xf numFmtId="4" fontId="0" fillId="7" borderId="0" xfId="0" applyNumberFormat="1" applyFill="1" applyBorder="1" applyAlignment="1">
      <alignment/>
    </xf>
    <xf numFmtId="0" fontId="0" fillId="7" borderId="12" xfId="0" applyFill="1" applyBorder="1" applyAlignment="1">
      <alignment/>
    </xf>
    <xf numFmtId="0" fontId="0" fillId="7" borderId="13" xfId="0"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43" fillId="7" borderId="17" xfId="0" applyFont="1" applyFill="1" applyBorder="1" applyAlignment="1">
      <alignment/>
    </xf>
    <xf numFmtId="0" fontId="43" fillId="0" borderId="0" xfId="0" applyFont="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0" fontId="0" fillId="3" borderId="14" xfId="0" applyFill="1" applyBorder="1" applyAlignment="1">
      <alignment/>
    </xf>
    <xf numFmtId="166" fontId="0" fillId="3" borderId="19" xfId="0" applyNumberFormat="1" applyFill="1" applyBorder="1" applyAlignment="1">
      <alignment/>
    </xf>
    <xf numFmtId="166" fontId="0" fillId="3" borderId="20" xfId="0" applyNumberFormat="1" applyFill="1" applyBorder="1" applyAlignment="1">
      <alignment/>
    </xf>
    <xf numFmtId="0" fontId="0" fillId="3" borderId="15" xfId="0" applyFill="1" applyBorder="1" applyAlignment="1">
      <alignment/>
    </xf>
    <xf numFmtId="166" fontId="0" fillId="3" borderId="18" xfId="0" applyNumberFormat="1" applyFill="1" applyBorder="1" applyAlignment="1">
      <alignment/>
    </xf>
    <xf numFmtId="166" fontId="0" fillId="3" borderId="21" xfId="0" applyNumberFormat="1" applyFill="1" applyBorder="1" applyAlignment="1">
      <alignment/>
    </xf>
    <xf numFmtId="0" fontId="0" fillId="3" borderId="16" xfId="0" applyFill="1" applyBorder="1" applyAlignment="1">
      <alignment/>
    </xf>
    <xf numFmtId="166" fontId="0" fillId="3" borderId="22" xfId="0" applyNumberFormat="1" applyFill="1" applyBorder="1" applyAlignment="1">
      <alignment/>
    </xf>
    <xf numFmtId="3" fontId="0" fillId="9" borderId="18" xfId="0" applyNumberFormat="1" applyFill="1" applyBorder="1" applyAlignment="1">
      <alignment/>
    </xf>
    <xf numFmtId="3" fontId="0" fillId="9" borderId="19" xfId="0" applyNumberFormat="1" applyFill="1" applyBorder="1" applyAlignment="1">
      <alignment/>
    </xf>
    <xf numFmtId="3" fontId="0" fillId="9" borderId="21" xfId="0" applyNumberFormat="1" applyFill="1" applyBorder="1" applyAlignment="1">
      <alignment/>
    </xf>
    <xf numFmtId="0" fontId="0" fillId="0" borderId="24" xfId="0" applyBorder="1" applyAlignment="1">
      <alignment/>
    </xf>
    <xf numFmtId="3" fontId="0" fillId="9" borderId="25" xfId="0" applyNumberFormat="1" applyFill="1" applyBorder="1" applyAlignment="1">
      <alignment/>
    </xf>
    <xf numFmtId="3" fontId="0" fillId="0" borderId="25" xfId="0" applyNumberFormat="1" applyBorder="1" applyAlignment="1">
      <alignment/>
    </xf>
    <xf numFmtId="3" fontId="0" fillId="9" borderId="26" xfId="0" applyNumberFormat="1" applyFill="1" applyBorder="1" applyAlignment="1">
      <alignment/>
    </xf>
    <xf numFmtId="3" fontId="0" fillId="9" borderId="20" xfId="0" applyNumberFormat="1" applyFill="1" applyBorder="1" applyAlignment="1">
      <alignment/>
    </xf>
    <xf numFmtId="165" fontId="0" fillId="0" borderId="27" xfId="46" applyNumberFormat="1" applyFont="1" applyBorder="1" applyAlignment="1">
      <alignment/>
    </xf>
    <xf numFmtId="3" fontId="0" fillId="0" borderId="28" xfId="0" applyNumberFormat="1" applyBorder="1" applyAlignment="1">
      <alignment/>
    </xf>
    <xf numFmtId="165" fontId="0" fillId="0" borderId="28" xfId="46" applyNumberFormat="1" applyFont="1" applyBorder="1" applyAlignment="1">
      <alignment/>
    </xf>
    <xf numFmtId="3" fontId="0" fillId="0" borderId="29" xfId="0" applyNumberForma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43" fontId="44" fillId="0" borderId="0" xfId="46" applyFont="1" applyAlignment="1">
      <alignment/>
    </xf>
    <xf numFmtId="3" fontId="0" fillId="0" borderId="27"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3" borderId="30" xfId="0" applyFill="1" applyBorder="1" applyAlignment="1">
      <alignment/>
    </xf>
    <xf numFmtId="0" fontId="0" fillId="3" borderId="31" xfId="0" applyFill="1" applyBorder="1" applyAlignment="1">
      <alignment/>
    </xf>
    <xf numFmtId="0" fontId="0" fillId="3" borderId="32" xfId="0" applyFill="1" applyBorder="1" applyAlignment="1">
      <alignment/>
    </xf>
    <xf numFmtId="0" fontId="0" fillId="0" borderId="33" xfId="0" applyBorder="1" applyAlignment="1">
      <alignment/>
    </xf>
    <xf numFmtId="165" fontId="0" fillId="0" borderId="34" xfId="46" applyNumberFormat="1" applyFont="1" applyBorder="1" applyAlignment="1">
      <alignment/>
    </xf>
    <xf numFmtId="0" fontId="0" fillId="0" borderId="34" xfId="0" applyBorder="1" applyAlignment="1">
      <alignment/>
    </xf>
    <xf numFmtId="3" fontId="0" fillId="0" borderId="34" xfId="0" applyNumberFormat="1" applyBorder="1" applyAlignment="1">
      <alignment/>
    </xf>
    <xf numFmtId="0" fontId="0" fillId="33" borderId="14" xfId="0" applyFill="1" applyBorder="1" applyAlignment="1">
      <alignment/>
    </xf>
    <xf numFmtId="0" fontId="0" fillId="33" borderId="30" xfId="0" applyFill="1" applyBorder="1" applyAlignment="1">
      <alignment/>
    </xf>
    <xf numFmtId="166" fontId="0" fillId="33" borderId="19" xfId="0" applyNumberFormat="1" applyFill="1" applyBorder="1" applyAlignment="1">
      <alignment/>
    </xf>
    <xf numFmtId="166" fontId="0" fillId="33" borderId="20" xfId="0" applyNumberFormat="1" applyFill="1" applyBorder="1" applyAlignment="1">
      <alignment/>
    </xf>
    <xf numFmtId="0" fontId="0" fillId="33" borderId="15" xfId="0" applyFill="1" applyBorder="1" applyAlignment="1">
      <alignment/>
    </xf>
    <xf numFmtId="0" fontId="0" fillId="33" borderId="31" xfId="0" applyFill="1" applyBorder="1" applyAlignment="1">
      <alignment/>
    </xf>
    <xf numFmtId="166" fontId="0" fillId="33" borderId="18" xfId="0" applyNumberFormat="1" applyFill="1" applyBorder="1" applyAlignment="1">
      <alignment/>
    </xf>
    <xf numFmtId="166" fontId="0" fillId="33" borderId="21" xfId="0" applyNumberFormat="1" applyFill="1" applyBorder="1" applyAlignment="1">
      <alignment/>
    </xf>
    <xf numFmtId="0" fontId="0" fillId="33" borderId="16" xfId="0" applyFill="1" applyBorder="1" applyAlignment="1">
      <alignment/>
    </xf>
    <xf numFmtId="0" fontId="0" fillId="33" borderId="32" xfId="0" applyFill="1" applyBorder="1" applyAlignment="1">
      <alignment/>
    </xf>
    <xf numFmtId="166" fontId="0" fillId="33" borderId="22" xfId="0" applyNumberFormat="1" applyFill="1" applyBorder="1" applyAlignment="1">
      <alignment/>
    </xf>
    <xf numFmtId="166" fontId="0" fillId="33" borderId="23" xfId="0" applyNumberFormat="1" applyFill="1" applyBorder="1" applyAlignment="1">
      <alignment/>
    </xf>
    <xf numFmtId="167" fontId="44" fillId="0" borderId="0" xfId="46" applyNumberFormat="1" applyFont="1" applyAlignment="1">
      <alignment/>
    </xf>
    <xf numFmtId="0" fontId="41" fillId="7" borderId="35" xfId="0" applyFont="1" applyFill="1" applyBorder="1" applyAlignment="1">
      <alignment horizontal="right"/>
    </xf>
    <xf numFmtId="3" fontId="41" fillId="7" borderId="36" xfId="0" applyNumberFormat="1" applyFont="1" applyFill="1" applyBorder="1" applyAlignment="1">
      <alignment/>
    </xf>
    <xf numFmtId="0" fontId="41" fillId="7" borderId="37" xfId="0" applyFont="1" applyFill="1" applyBorder="1" applyAlignment="1">
      <alignment/>
    </xf>
    <xf numFmtId="168" fontId="0" fillId="0" borderId="0" xfId="0" applyNumberFormat="1" applyAlignment="1">
      <alignment/>
    </xf>
    <xf numFmtId="0" fontId="0" fillId="0" borderId="19" xfId="0" applyBorder="1" applyAlignment="1">
      <alignment/>
    </xf>
    <xf numFmtId="0" fontId="0" fillId="0" borderId="22" xfId="0" applyBorder="1" applyAlignment="1">
      <alignment/>
    </xf>
    <xf numFmtId="3" fontId="41" fillId="0" borderId="20" xfId="0" applyNumberFormat="1" applyFont="1" applyBorder="1" applyAlignment="1">
      <alignment/>
    </xf>
    <xf numFmtId="3" fontId="41" fillId="0" borderId="23" xfId="0" applyNumberFormat="1" applyFont="1" applyBorder="1" applyAlignment="1">
      <alignment/>
    </xf>
    <xf numFmtId="169" fontId="0" fillId="0" borderId="0" xfId="0" applyNumberFormat="1" applyAlignment="1">
      <alignment/>
    </xf>
    <xf numFmtId="0" fontId="0" fillId="0" borderId="0" xfId="0" applyAlignment="1">
      <alignment horizontal="right"/>
    </xf>
    <xf numFmtId="0" fontId="41" fillId="0" borderId="0" xfId="0" applyFont="1" applyAlignment="1">
      <alignment horizontal="right"/>
    </xf>
    <xf numFmtId="0" fontId="41" fillId="0" borderId="0" xfId="0" applyFont="1" applyAlignment="1">
      <alignment/>
    </xf>
    <xf numFmtId="9" fontId="41" fillId="0" borderId="0" xfId="51" applyFont="1" applyAlignment="1">
      <alignment/>
    </xf>
    <xf numFmtId="0" fontId="45" fillId="0" borderId="0" xfId="0" applyFont="1" applyAlignment="1">
      <alignment horizontal="center"/>
    </xf>
    <xf numFmtId="170" fontId="43" fillId="0" borderId="0" xfId="0" applyNumberFormat="1" applyFont="1" applyAlignment="1">
      <alignment horizontal="center" wrapText="1"/>
    </xf>
    <xf numFmtId="170" fontId="0" fillId="0" borderId="0" xfId="0" applyNumberFormat="1" applyAlignment="1">
      <alignment wrapText="1"/>
    </xf>
    <xf numFmtId="0" fontId="43" fillId="0" borderId="0" xfId="0" applyFont="1" applyAlignment="1">
      <alignment horizontal="center"/>
    </xf>
    <xf numFmtId="3" fontId="41" fillId="3" borderId="22" xfId="0" applyNumberFormat="1" applyFont="1" applyFill="1" applyBorder="1" applyAlignment="1">
      <alignment/>
    </xf>
    <xf numFmtId="3" fontId="0" fillId="3" borderId="22" xfId="0" applyNumberFormat="1" applyFill="1" applyBorder="1" applyAlignment="1">
      <alignment/>
    </xf>
    <xf numFmtId="3" fontId="41" fillId="3" borderId="23" xfId="0" applyNumberFormat="1" applyFont="1"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30</xdr:row>
      <xdr:rowOff>19050</xdr:rowOff>
    </xdr:from>
    <xdr:to>
      <xdr:col>10</xdr:col>
      <xdr:colOff>76200</xdr:colOff>
      <xdr:row>33</xdr:row>
      <xdr:rowOff>76200</xdr:rowOff>
    </xdr:to>
    <xdr:sp>
      <xdr:nvSpPr>
        <xdr:cNvPr id="1" name="ZoneTexte 1"/>
        <xdr:cNvSpPr txBox="1">
          <a:spLocks noChangeArrowheads="1"/>
        </xdr:cNvSpPr>
      </xdr:nvSpPr>
      <xdr:spPr>
        <a:xfrm>
          <a:off x="1762125" y="6734175"/>
          <a:ext cx="3848100" cy="628650"/>
        </a:xfrm>
        <a:prstGeom prst="rect">
          <a:avLst/>
        </a:prstGeom>
        <a:solidFill>
          <a:srgbClr val="C3D69B"/>
        </a:solidFill>
        <a:ln w="9525" cmpd="sng">
          <a:solidFill>
            <a:srgbClr val="BCBCBC"/>
          </a:solidFill>
          <a:headEnd type="none"/>
          <a:tailEnd type="none"/>
        </a:ln>
      </xdr:spPr>
      <xdr:txBody>
        <a:bodyPr vertOverflow="clip" wrap="square"/>
        <a:p>
          <a:pPr algn="ctr">
            <a:defRPr/>
          </a:pPr>
          <a:r>
            <a:rPr lang="en-US" cap="none" sz="1600" b="0" i="0" u="none" baseline="0">
              <a:solidFill>
                <a:srgbClr val="000000"/>
              </a:solidFill>
              <a:latin typeface="Calibri"/>
              <a:ea typeface="Calibri"/>
              <a:cs typeface="Calibri"/>
            </a:rPr>
            <a:t>Projection à 2035, sur la base des productions/économies obtenues en 2020.</a:t>
          </a:r>
        </a:p>
      </xdr:txBody>
    </xdr:sp>
    <xdr:clientData/>
  </xdr:twoCellAnchor>
  <xdr:twoCellAnchor>
    <xdr:from>
      <xdr:col>19</xdr:col>
      <xdr:colOff>152400</xdr:colOff>
      <xdr:row>22</xdr:row>
      <xdr:rowOff>19050</xdr:rowOff>
    </xdr:from>
    <xdr:to>
      <xdr:col>21</xdr:col>
      <xdr:colOff>600075</xdr:colOff>
      <xdr:row>39</xdr:row>
      <xdr:rowOff>171450</xdr:rowOff>
    </xdr:to>
    <xdr:sp>
      <xdr:nvSpPr>
        <xdr:cNvPr id="2" name="ZoneTexte 2"/>
        <xdr:cNvSpPr txBox="1">
          <a:spLocks noChangeArrowheads="1"/>
        </xdr:cNvSpPr>
      </xdr:nvSpPr>
      <xdr:spPr>
        <a:xfrm>
          <a:off x="8953500" y="5200650"/>
          <a:ext cx="3752850"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Hypothèses du calcul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EnR</a:t>
          </a:r>
          <a:r>
            <a:rPr lang="en-US" cap="none" sz="1100" b="0" i="0" u="none" baseline="0">
              <a:solidFill>
                <a:srgbClr val="000000"/>
              </a:solidFill>
              <a:latin typeface="Calibri"/>
              <a:ea typeface="Calibri"/>
              <a:cs typeface="Calibri"/>
            </a:rPr>
            <a:t> : les données d'entrées sont les puissances</a:t>
          </a:r>
          <a:r>
            <a:rPr lang="en-US" cap="none" sz="1100" b="0" i="0" u="none" baseline="0">
              <a:solidFill>
                <a:srgbClr val="000000"/>
              </a:solidFill>
              <a:latin typeface="Calibri"/>
              <a:ea typeface="Calibri"/>
              <a:cs typeface="Calibri"/>
            </a:rPr>
            <a:t> inscrites dans le Pacte électrique breton. Entre deux date, est fait l'hypothèse d'une progression linéaire de l'augmentation de puissance. 
</a:t>
          </a:r>
          <a:r>
            <a:rPr lang="en-US" cap="none" sz="1100" b="1" i="0" u="none" baseline="0">
              <a:solidFill>
                <a:srgbClr val="000000"/>
              </a:solidFill>
              <a:latin typeface="Calibri"/>
              <a:ea typeface="Calibri"/>
              <a:cs typeface="Calibri"/>
            </a:rPr>
            <a:t>Economie d'énergie </a:t>
          </a:r>
          <a:r>
            <a:rPr lang="en-US" cap="none" sz="1100" b="0" i="0" u="none" baseline="0">
              <a:solidFill>
                <a:srgbClr val="000000"/>
              </a:solidFill>
              <a:latin typeface="Calibri"/>
              <a:ea typeface="Calibri"/>
              <a:cs typeface="Calibri"/>
            </a:rPr>
            <a:t>: hypothèse d'une progression linéaire entre 2010 et 2015 et entre 2015 et 2020.
</a:t>
          </a:r>
          <a:r>
            <a:rPr lang="en-US" cap="none" sz="1100" b="1" i="0" u="none" baseline="0">
              <a:solidFill>
                <a:srgbClr val="000000"/>
              </a:solidFill>
              <a:latin typeface="Calibri"/>
              <a:ea typeface="Calibri"/>
              <a:cs typeface="Calibri"/>
            </a:rPr>
            <a:t>CCCG</a:t>
          </a:r>
          <a:r>
            <a:rPr lang="en-US" cap="none" sz="1100" b="0" i="0" u="none" baseline="0">
              <a:solidFill>
                <a:srgbClr val="000000"/>
              </a:solidFill>
              <a:latin typeface="Calibri"/>
              <a:ea typeface="Calibri"/>
              <a:cs typeface="Calibri"/>
            </a:rPr>
            <a:t> : hypothèse d'une centrale de 450 MW prosduisant en semi base 5000h/an
</a:t>
          </a:r>
          <a:r>
            <a:rPr lang="en-US" cap="none" sz="1100" b="1" i="0" u="none" baseline="0">
              <a:solidFill>
                <a:srgbClr val="000000"/>
              </a:solidFill>
              <a:latin typeface="Calibri"/>
              <a:ea typeface="Calibri"/>
              <a:cs typeface="Calibri"/>
            </a:rPr>
            <a:t>Tarifs de rachat </a:t>
          </a:r>
          <a:r>
            <a:rPr lang="en-US" cap="none" sz="1100" b="0" i="0" u="none" baseline="0">
              <a:solidFill>
                <a:srgbClr val="000000"/>
              </a:solidFill>
              <a:latin typeface="Calibri"/>
              <a:ea typeface="Calibri"/>
              <a:cs typeface="Calibri"/>
            </a:rPr>
            <a:t>: l'électricté de base est estimé à 30 €/MWh (c'est le tarif applisqué à la production de la CCCG) et </a:t>
          </a:r>
          <a:r>
            <a:rPr lang="en-US" cap="none" sz="1100" b="0" i="0" u="none" baseline="0">
              <a:solidFill>
                <a:srgbClr val="000000"/>
              </a:solidFill>
              <a:latin typeface="Calibri"/>
              <a:ea typeface="Calibri"/>
              <a:cs typeface="Calibri"/>
            </a:rPr>
            <a:t>les tarifs de rachat des EnR sont ceux prix sur le site du ministère. Ils sont supposé constant au fils du temps (ce qui est faux dans l'absolue, même si certains de ces prix sont liés à des conventions de rachat de 10 à 20 ans.</a:t>
          </a:r>
          <a:r>
            <a:rPr lang="en-US" cap="none" sz="1100" b="0" i="0" u="none" baseline="0">
              <a:solidFill>
                <a:srgbClr val="000000"/>
              </a:solidFill>
              <a:latin typeface="Calibri"/>
              <a:ea typeface="Calibri"/>
              <a:cs typeface="Calibri"/>
            </a:rPr>
            <a:t>  Il s'agit d'une hypothèse réductrice, mais qui est valable pour l'ensemble du prix des énergies.</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4"/>
  <sheetViews>
    <sheetView tabSelected="1" view="pageBreakPreview" zoomScale="60" zoomScaleNormal="70" zoomScalePageLayoutView="0" workbookViewId="0" topLeftCell="A1">
      <pane xSplit="1" ySplit="3" topLeftCell="B19" activePane="bottomRight" state="frozen"/>
      <selection pane="topLeft" activeCell="A1" sqref="A1"/>
      <selection pane="topRight" activeCell="B1" sqref="B1"/>
      <selection pane="bottomLeft" activeCell="A4" sqref="A4"/>
      <selection pane="bottomRight" activeCell="Q13" sqref="Q13"/>
    </sheetView>
  </sheetViews>
  <sheetFormatPr defaultColWidth="11.421875" defaultRowHeight="15"/>
  <cols>
    <col min="2" max="2" width="1.8515625" style="0" customWidth="1"/>
    <col min="3" max="11" width="8.7109375" style="0" customWidth="1"/>
    <col min="12" max="12" width="1.8515625" style="0" customWidth="1"/>
    <col min="13" max="13" width="8.7109375" style="0" customWidth="1"/>
    <col min="14" max="14" width="1.8515625" style="0" customWidth="1"/>
    <col min="15" max="15" width="8.7109375" style="0" customWidth="1"/>
    <col min="17" max="19" width="2.57421875" style="0" customWidth="1"/>
    <col min="20" max="20" width="36.140625" style="0" customWidth="1"/>
    <col min="21" max="21" width="13.421875" style="0" bestFit="1" customWidth="1"/>
  </cols>
  <sheetData>
    <row r="1" spans="1:15" ht="26.25">
      <c r="A1" s="88" t="s">
        <v>36</v>
      </c>
      <c r="B1" s="88"/>
      <c r="C1" s="88"/>
      <c r="D1" s="88"/>
      <c r="E1" s="88"/>
      <c r="F1" s="88"/>
      <c r="G1" s="88"/>
      <c r="H1" s="88"/>
      <c r="I1" s="88"/>
      <c r="J1" s="88"/>
      <c r="K1" s="88"/>
      <c r="L1" s="88"/>
      <c r="M1" s="88"/>
      <c r="N1" s="88"/>
      <c r="O1" s="88"/>
    </row>
    <row r="2" ht="6" customHeight="1"/>
    <row r="3" spans="3:15" s="6" customFormat="1" ht="75.75" thickBot="1">
      <c r="C3" s="6" t="s">
        <v>6</v>
      </c>
      <c r="D3" s="6" t="s">
        <v>7</v>
      </c>
      <c r="E3" s="6" t="s">
        <v>8</v>
      </c>
      <c r="F3" s="6" t="s">
        <v>9</v>
      </c>
      <c r="G3" s="6" t="s">
        <v>10</v>
      </c>
      <c r="H3" s="6" t="s">
        <v>13</v>
      </c>
      <c r="I3" s="6" t="s">
        <v>11</v>
      </c>
      <c r="J3" s="6" t="s">
        <v>12</v>
      </c>
      <c r="K3" s="6" t="s">
        <v>35</v>
      </c>
      <c r="M3" s="6" t="s">
        <v>44</v>
      </c>
      <c r="O3" s="6" t="s">
        <v>5</v>
      </c>
    </row>
    <row r="4" spans="3:22" ht="19.5" thickBot="1">
      <c r="C4" s="20" t="s">
        <v>34</v>
      </c>
      <c r="T4" s="19" t="s">
        <v>32</v>
      </c>
      <c r="U4" s="14"/>
      <c r="V4" s="15"/>
    </row>
    <row r="5" spans="1:22" ht="15">
      <c r="A5" s="62">
        <v>2010</v>
      </c>
      <c r="B5" s="63"/>
      <c r="C5" s="64">
        <v>1070</v>
      </c>
      <c r="D5" s="64"/>
      <c r="E5" s="64"/>
      <c r="F5" s="64">
        <f>+(490+550)/2</f>
        <v>520</v>
      </c>
      <c r="G5" s="64">
        <v>60</v>
      </c>
      <c r="H5" s="64">
        <v>25</v>
      </c>
      <c r="I5" s="64">
        <v>3.2</v>
      </c>
      <c r="J5" s="64">
        <v>80</v>
      </c>
      <c r="K5" s="64">
        <f>SUM(C5:J5)</f>
        <v>1758.2</v>
      </c>
      <c r="L5" s="64"/>
      <c r="M5" s="64">
        <v>0</v>
      </c>
      <c r="N5" s="64"/>
      <c r="O5" s="65">
        <v>0</v>
      </c>
      <c r="T5" s="8" t="s">
        <v>33</v>
      </c>
      <c r="U5" s="9"/>
      <c r="V5" s="10"/>
    </row>
    <row r="6" spans="1:22" ht="15">
      <c r="A6" s="66">
        <v>1012</v>
      </c>
      <c r="B6" s="67"/>
      <c r="C6" s="68">
        <v>1900</v>
      </c>
      <c r="D6" s="68"/>
      <c r="E6" s="68"/>
      <c r="F6" s="68">
        <v>520</v>
      </c>
      <c r="G6" s="68"/>
      <c r="H6" s="68">
        <v>75</v>
      </c>
      <c r="I6" s="68">
        <v>32</v>
      </c>
      <c r="J6" s="68">
        <v>80</v>
      </c>
      <c r="K6" s="68"/>
      <c r="L6" s="68"/>
      <c r="M6" s="68">
        <f>950/2</f>
        <v>475</v>
      </c>
      <c r="N6" s="68"/>
      <c r="O6" s="69">
        <v>0</v>
      </c>
      <c r="T6" s="11" t="s">
        <v>27</v>
      </c>
      <c r="U6" s="12">
        <v>450</v>
      </c>
      <c r="V6" s="10" t="s">
        <v>0</v>
      </c>
    </row>
    <row r="7" spans="1:22" ht="15">
      <c r="A7" s="66">
        <v>2015</v>
      </c>
      <c r="B7" s="67"/>
      <c r="C7" s="68"/>
      <c r="D7" s="68">
        <v>1450</v>
      </c>
      <c r="E7" s="68">
        <v>3.5</v>
      </c>
      <c r="F7" s="68">
        <f>+F6</f>
        <v>520</v>
      </c>
      <c r="G7" s="68"/>
      <c r="H7" s="68">
        <v>250</v>
      </c>
      <c r="I7" s="68">
        <v>160</v>
      </c>
      <c r="J7" s="68">
        <v>80</v>
      </c>
      <c r="K7" s="68"/>
      <c r="L7" s="68"/>
      <c r="M7" s="68">
        <v>950</v>
      </c>
      <c r="N7" s="68"/>
      <c r="O7" s="69">
        <f>U11/1000</f>
        <v>2250</v>
      </c>
      <c r="T7" s="11" t="s">
        <v>28</v>
      </c>
      <c r="U7" s="12">
        <f>365*24</f>
        <v>8760</v>
      </c>
      <c r="V7" s="10" t="s">
        <v>1</v>
      </c>
    </row>
    <row r="8" spans="1:22" ht="15.75" thickBot="1">
      <c r="A8" s="70">
        <v>2020</v>
      </c>
      <c r="B8" s="71"/>
      <c r="C8" s="72">
        <v>4000</v>
      </c>
      <c r="D8" s="72">
        <v>2900</v>
      </c>
      <c r="E8" s="72">
        <v>30</v>
      </c>
      <c r="F8" s="72">
        <v>550</v>
      </c>
      <c r="G8" s="72">
        <v>80</v>
      </c>
      <c r="H8" s="72">
        <v>400</v>
      </c>
      <c r="I8" s="72">
        <v>800</v>
      </c>
      <c r="J8" s="72">
        <v>80</v>
      </c>
      <c r="K8" s="72">
        <f>SUM(C8:J8)</f>
        <v>8840</v>
      </c>
      <c r="L8" s="72"/>
      <c r="M8" s="72">
        <v>1200</v>
      </c>
      <c r="N8" s="72"/>
      <c r="O8" s="73">
        <f>+O7</f>
        <v>2250</v>
      </c>
      <c r="T8" s="11" t="s">
        <v>29</v>
      </c>
      <c r="U8" s="12">
        <f>U7*U6</f>
        <v>3942000</v>
      </c>
      <c r="V8" s="10" t="s">
        <v>2</v>
      </c>
    </row>
    <row r="9" spans="20:22" ht="15">
      <c r="T9" s="11" t="s">
        <v>30</v>
      </c>
      <c r="U9" s="12">
        <v>5000</v>
      </c>
      <c r="V9" s="10" t="s">
        <v>1</v>
      </c>
    </row>
    <row r="10" spans="20:22" ht="15">
      <c r="T10" s="11" t="s">
        <v>3</v>
      </c>
      <c r="U10" s="13">
        <f>U9/U7</f>
        <v>0.5707762557077626</v>
      </c>
      <c r="V10" s="10"/>
    </row>
    <row r="11" spans="3:22" ht="19.5" thickBot="1">
      <c r="C11" s="20" t="s">
        <v>20</v>
      </c>
      <c r="T11" s="75" t="s">
        <v>31</v>
      </c>
      <c r="U11" s="76">
        <f>+U10*U8</f>
        <v>2250000</v>
      </c>
      <c r="V11" s="77" t="s">
        <v>2</v>
      </c>
    </row>
    <row r="12" spans="1:16" ht="15">
      <c r="A12" s="27">
        <v>2010</v>
      </c>
      <c r="B12" s="55"/>
      <c r="C12" s="28">
        <v>0</v>
      </c>
      <c r="D12" s="28">
        <v>0</v>
      </c>
      <c r="E12" s="28">
        <v>0</v>
      </c>
      <c r="F12" s="28">
        <v>0</v>
      </c>
      <c r="G12" s="28">
        <v>0</v>
      </c>
      <c r="H12" s="28">
        <v>0</v>
      </c>
      <c r="I12" s="28">
        <v>0</v>
      </c>
      <c r="J12" s="28">
        <v>0</v>
      </c>
      <c r="K12" s="28"/>
      <c r="L12" s="28"/>
      <c r="M12" s="28">
        <v>0</v>
      </c>
      <c r="N12" s="28"/>
      <c r="O12" s="29">
        <v>0</v>
      </c>
      <c r="P12" s="2"/>
    </row>
    <row r="13" spans="1:16" ht="15">
      <c r="A13" s="30">
        <v>2012</v>
      </c>
      <c r="B13" s="56"/>
      <c r="C13" s="31">
        <f>C6-C$5</f>
        <v>830</v>
      </c>
      <c r="D13" s="31">
        <f aca="true" t="shared" si="0" ref="D13:J13">D6-D$5</f>
        <v>0</v>
      </c>
      <c r="E13" s="31">
        <f t="shared" si="0"/>
        <v>0</v>
      </c>
      <c r="F13" s="31">
        <f t="shared" si="0"/>
        <v>0</v>
      </c>
      <c r="G13" s="31">
        <v>0</v>
      </c>
      <c r="H13" s="31">
        <f t="shared" si="0"/>
        <v>50</v>
      </c>
      <c r="I13" s="31">
        <f t="shared" si="0"/>
        <v>28.8</v>
      </c>
      <c r="J13" s="31">
        <f t="shared" si="0"/>
        <v>0</v>
      </c>
      <c r="K13" s="31"/>
      <c r="L13" s="31"/>
      <c r="M13" s="31">
        <f>M6-M$5</f>
        <v>475</v>
      </c>
      <c r="N13" s="31"/>
      <c r="O13" s="32">
        <f>O6-O$5</f>
        <v>0</v>
      </c>
      <c r="P13" s="2"/>
    </row>
    <row r="14" spans="1:16" ht="15">
      <c r="A14" s="30">
        <v>2015</v>
      </c>
      <c r="B14" s="56"/>
      <c r="C14" s="31"/>
      <c r="D14" s="31">
        <f aca="true" t="shared" si="1" ref="D14:J14">D7-D$5</f>
        <v>1450</v>
      </c>
      <c r="E14" s="31">
        <f t="shared" si="1"/>
        <v>3.5</v>
      </c>
      <c r="F14" s="31">
        <f t="shared" si="1"/>
        <v>0</v>
      </c>
      <c r="G14" s="31">
        <v>0</v>
      </c>
      <c r="H14" s="31">
        <f t="shared" si="1"/>
        <v>225</v>
      </c>
      <c r="I14" s="31">
        <f t="shared" si="1"/>
        <v>156.8</v>
      </c>
      <c r="J14" s="31">
        <f t="shared" si="1"/>
        <v>0</v>
      </c>
      <c r="K14" s="31"/>
      <c r="L14" s="31"/>
      <c r="M14" s="31">
        <f>M7-M$5</f>
        <v>950</v>
      </c>
      <c r="N14" s="31"/>
      <c r="O14" s="32">
        <f>O7-O$5</f>
        <v>2250</v>
      </c>
      <c r="P14" s="2"/>
    </row>
    <row r="15" spans="1:16" ht="15.75" thickBot="1">
      <c r="A15" s="33">
        <v>2020</v>
      </c>
      <c r="B15" s="57"/>
      <c r="C15" s="34">
        <f aca="true" t="shared" si="2" ref="C15:J15">C8-C$5</f>
        <v>2930</v>
      </c>
      <c r="D15" s="34">
        <f t="shared" si="2"/>
        <v>2900</v>
      </c>
      <c r="E15" s="34">
        <f t="shared" si="2"/>
        <v>30</v>
      </c>
      <c r="F15" s="34">
        <f t="shared" si="2"/>
        <v>30</v>
      </c>
      <c r="G15" s="34">
        <f t="shared" si="2"/>
        <v>20</v>
      </c>
      <c r="H15" s="34">
        <f t="shared" si="2"/>
        <v>375</v>
      </c>
      <c r="I15" s="34">
        <f t="shared" si="2"/>
        <v>796.8</v>
      </c>
      <c r="J15" s="34">
        <f t="shared" si="2"/>
        <v>0</v>
      </c>
      <c r="K15" s="92">
        <f>SUM(C15:J15)</f>
        <v>7081.8</v>
      </c>
      <c r="L15" s="93"/>
      <c r="M15" s="92">
        <f>M8-M$5</f>
        <v>1200</v>
      </c>
      <c r="N15" s="93"/>
      <c r="O15" s="94">
        <f>O8-O$5</f>
        <v>2250</v>
      </c>
      <c r="P15" s="2"/>
    </row>
    <row r="16" spans="3:16" ht="15">
      <c r="C16" s="2"/>
      <c r="D16" s="2"/>
      <c r="E16" s="2"/>
      <c r="F16" s="2"/>
      <c r="G16" s="2"/>
      <c r="H16" s="2"/>
      <c r="I16" s="2"/>
      <c r="J16" s="2"/>
      <c r="K16" s="2"/>
      <c r="L16" s="2"/>
      <c r="M16" s="2"/>
      <c r="N16" s="2"/>
      <c r="O16" s="2"/>
      <c r="P16" s="2"/>
    </row>
    <row r="17" spans="3:16" ht="19.5" thickBot="1">
      <c r="C17" s="20" t="s">
        <v>21</v>
      </c>
      <c r="D17" s="2"/>
      <c r="E17" s="2"/>
      <c r="F17" s="2"/>
      <c r="G17" s="2"/>
      <c r="H17" s="2"/>
      <c r="I17" s="2"/>
      <c r="J17" s="2"/>
      <c r="K17" s="2"/>
      <c r="L17" s="2"/>
      <c r="M17" s="2"/>
      <c r="N17" s="2"/>
      <c r="O17" s="2"/>
      <c r="P17" s="2"/>
    </row>
    <row r="18" spans="1:16" ht="15">
      <c r="A18" s="16">
        <v>2010</v>
      </c>
      <c r="B18" s="52"/>
      <c r="C18" s="36">
        <f aca="true" t="shared" si="3" ref="C18:J18">C12</f>
        <v>0</v>
      </c>
      <c r="D18" s="36">
        <f t="shared" si="3"/>
        <v>0</v>
      </c>
      <c r="E18" s="36">
        <f t="shared" si="3"/>
        <v>0</v>
      </c>
      <c r="F18" s="36">
        <f t="shared" si="3"/>
        <v>0</v>
      </c>
      <c r="G18" s="36">
        <f t="shared" si="3"/>
        <v>0</v>
      </c>
      <c r="H18" s="36">
        <f t="shared" si="3"/>
        <v>0</v>
      </c>
      <c r="I18" s="36">
        <f t="shared" si="3"/>
        <v>0</v>
      </c>
      <c r="J18" s="36">
        <f t="shared" si="3"/>
        <v>0</v>
      </c>
      <c r="K18" s="22"/>
      <c r="L18" s="22"/>
      <c r="M18" s="36">
        <f>M12</f>
        <v>0</v>
      </c>
      <c r="N18" s="22"/>
      <c r="O18" s="42">
        <v>0</v>
      </c>
      <c r="P18" s="2"/>
    </row>
    <row r="19" spans="1:22" ht="15">
      <c r="A19" s="17">
        <v>2011</v>
      </c>
      <c r="B19" s="53"/>
      <c r="C19" s="21">
        <f aca="true" t="shared" si="4" ref="C19:J19">+C20/2</f>
        <v>415</v>
      </c>
      <c r="D19" s="21">
        <f t="shared" si="4"/>
        <v>0</v>
      </c>
      <c r="E19" s="21">
        <f t="shared" si="4"/>
        <v>0</v>
      </c>
      <c r="F19" s="21">
        <f t="shared" si="4"/>
        <v>0</v>
      </c>
      <c r="G19" s="21">
        <f t="shared" si="4"/>
        <v>0</v>
      </c>
      <c r="H19" s="21">
        <f t="shared" si="4"/>
        <v>25</v>
      </c>
      <c r="I19" s="21">
        <f t="shared" si="4"/>
        <v>14.4</v>
      </c>
      <c r="J19" s="21">
        <f t="shared" si="4"/>
        <v>0</v>
      </c>
      <c r="K19" s="21"/>
      <c r="L19" s="21"/>
      <c r="M19" s="21">
        <f>+M20/2</f>
        <v>237.5</v>
      </c>
      <c r="N19" s="21"/>
      <c r="O19" s="24">
        <v>0</v>
      </c>
      <c r="P19" s="2"/>
      <c r="T19" s="2"/>
      <c r="U19" s="2"/>
      <c r="V19" s="2"/>
    </row>
    <row r="20" spans="1:22" ht="15">
      <c r="A20" s="17">
        <v>2012</v>
      </c>
      <c r="B20" s="53"/>
      <c r="C20" s="35">
        <f aca="true" t="shared" si="5" ref="C20:J20">C13</f>
        <v>830</v>
      </c>
      <c r="D20" s="21">
        <f t="shared" si="5"/>
        <v>0</v>
      </c>
      <c r="E20" s="21">
        <f t="shared" si="5"/>
        <v>0</v>
      </c>
      <c r="F20" s="21">
        <f t="shared" si="5"/>
        <v>0</v>
      </c>
      <c r="G20" s="21">
        <f t="shared" si="5"/>
        <v>0</v>
      </c>
      <c r="H20" s="35">
        <f t="shared" si="5"/>
        <v>50</v>
      </c>
      <c r="I20" s="35">
        <f t="shared" si="5"/>
        <v>28.8</v>
      </c>
      <c r="J20" s="21">
        <f t="shared" si="5"/>
        <v>0</v>
      </c>
      <c r="K20" s="21"/>
      <c r="L20" s="21"/>
      <c r="M20" s="21">
        <f>M13</f>
        <v>475</v>
      </c>
      <c r="N20" s="21"/>
      <c r="O20" s="24">
        <v>0</v>
      </c>
      <c r="P20" s="2"/>
      <c r="T20" s="5"/>
      <c r="U20" s="5"/>
      <c r="V20" s="5"/>
    </row>
    <row r="21" spans="1:16" ht="15">
      <c r="A21" s="17">
        <v>2013</v>
      </c>
      <c r="B21" s="53"/>
      <c r="C21" s="21">
        <f>C20+(C$28-C$20)/8</f>
        <v>1092.5</v>
      </c>
      <c r="D21" s="21">
        <v>0</v>
      </c>
      <c r="E21" s="21">
        <f>E20+(E$23-E$20)/3</f>
        <v>1.1666666666666667</v>
      </c>
      <c r="F21" s="21">
        <f aca="true" t="shared" si="6" ref="F21:J22">F20+(F$23-F$20)/3</f>
        <v>0</v>
      </c>
      <c r="G21" s="21">
        <f t="shared" si="6"/>
        <v>0</v>
      </c>
      <c r="H21" s="21">
        <f t="shared" si="6"/>
        <v>108.33333333333334</v>
      </c>
      <c r="I21" s="21">
        <f t="shared" si="6"/>
        <v>71.46666666666667</v>
      </c>
      <c r="J21" s="21">
        <f t="shared" si="6"/>
        <v>0</v>
      </c>
      <c r="K21" s="21"/>
      <c r="L21" s="21"/>
      <c r="M21" s="21">
        <f>M20+(M$23-M$20)/3</f>
        <v>633.3333333333334</v>
      </c>
      <c r="N21" s="21"/>
      <c r="O21" s="24">
        <v>0</v>
      </c>
      <c r="P21" s="2"/>
    </row>
    <row r="22" spans="1:16" ht="15">
      <c r="A22" s="17">
        <v>2014</v>
      </c>
      <c r="B22" s="53"/>
      <c r="C22" s="21">
        <f aca="true" t="shared" si="7" ref="C22:C27">C21+(C$28-C$20)/8</f>
        <v>1355</v>
      </c>
      <c r="D22" s="21">
        <v>0</v>
      </c>
      <c r="E22" s="21">
        <f>E21+(E$23-E$20)/3</f>
        <v>2.3333333333333335</v>
      </c>
      <c r="F22" s="21">
        <f t="shared" si="6"/>
        <v>0</v>
      </c>
      <c r="G22" s="21">
        <f t="shared" si="6"/>
        <v>0</v>
      </c>
      <c r="H22" s="21">
        <f t="shared" si="6"/>
        <v>166.66666666666669</v>
      </c>
      <c r="I22" s="21">
        <f t="shared" si="6"/>
        <v>114.13333333333333</v>
      </c>
      <c r="J22" s="21">
        <f t="shared" si="6"/>
        <v>0</v>
      </c>
      <c r="K22" s="21"/>
      <c r="L22" s="21"/>
      <c r="M22" s="21">
        <f>M21+(M$23-M$20)/3</f>
        <v>791.6666666666667</v>
      </c>
      <c r="N22" s="21"/>
      <c r="O22" s="24">
        <v>0</v>
      </c>
      <c r="P22" s="2"/>
    </row>
    <row r="23" spans="1:22" ht="15">
      <c r="A23" s="17">
        <v>2015</v>
      </c>
      <c r="B23" s="53"/>
      <c r="C23" s="21">
        <f t="shared" si="7"/>
        <v>1617.5</v>
      </c>
      <c r="D23" s="35">
        <v>1450</v>
      </c>
      <c r="E23" s="35">
        <f aca="true" t="shared" si="8" ref="E23:J23">+E14</f>
        <v>3.5</v>
      </c>
      <c r="F23" s="21">
        <f t="shared" si="8"/>
        <v>0</v>
      </c>
      <c r="G23" s="21">
        <f t="shared" si="8"/>
        <v>0</v>
      </c>
      <c r="H23" s="35">
        <f t="shared" si="8"/>
        <v>225</v>
      </c>
      <c r="I23" s="35">
        <f t="shared" si="8"/>
        <v>156.8</v>
      </c>
      <c r="J23" s="21">
        <f t="shared" si="8"/>
        <v>0</v>
      </c>
      <c r="K23" s="21"/>
      <c r="L23" s="21"/>
      <c r="M23" s="35">
        <f>+M14</f>
        <v>950</v>
      </c>
      <c r="N23" s="21"/>
      <c r="O23" s="37">
        <f>+O14</f>
        <v>2250</v>
      </c>
      <c r="P23" s="2"/>
      <c r="T23" s="2"/>
      <c r="U23" s="2"/>
      <c r="V23" s="2"/>
    </row>
    <row r="24" spans="1:22" ht="15">
      <c r="A24" s="17">
        <v>2016</v>
      </c>
      <c r="B24" s="53"/>
      <c r="C24" s="21">
        <f t="shared" si="7"/>
        <v>1880</v>
      </c>
      <c r="D24" s="21">
        <f aca="true" t="shared" si="9" ref="D24:E27">D23+(D$28-D$23)/5</f>
        <v>1740</v>
      </c>
      <c r="E24" s="21">
        <f t="shared" si="9"/>
        <v>8.8</v>
      </c>
      <c r="F24" s="21">
        <f aca="true" t="shared" si="10" ref="F24:J27">F23+(F$28-F$23)/5</f>
        <v>6</v>
      </c>
      <c r="G24" s="21">
        <f t="shared" si="10"/>
        <v>4</v>
      </c>
      <c r="H24" s="21">
        <f t="shared" si="10"/>
        <v>255</v>
      </c>
      <c r="I24" s="21">
        <f t="shared" si="10"/>
        <v>284.8</v>
      </c>
      <c r="J24" s="21">
        <f t="shared" si="10"/>
        <v>0</v>
      </c>
      <c r="K24" s="21"/>
      <c r="L24" s="21"/>
      <c r="M24" s="21">
        <f>M23+(M$28-M$23)/5</f>
        <v>1000</v>
      </c>
      <c r="N24" s="21"/>
      <c r="O24" s="24">
        <f>+O23</f>
        <v>2250</v>
      </c>
      <c r="P24" s="2"/>
      <c r="T24" s="5"/>
      <c r="U24" s="5"/>
      <c r="V24" s="5"/>
    </row>
    <row r="25" spans="1:16" ht="15">
      <c r="A25" s="17">
        <v>2017</v>
      </c>
      <c r="B25" s="53"/>
      <c r="C25" s="21">
        <f t="shared" si="7"/>
        <v>2142.5</v>
      </c>
      <c r="D25" s="21">
        <f t="shared" si="9"/>
        <v>2030</v>
      </c>
      <c r="E25" s="21">
        <f t="shared" si="9"/>
        <v>14.100000000000001</v>
      </c>
      <c r="F25" s="21">
        <f t="shared" si="10"/>
        <v>12</v>
      </c>
      <c r="G25" s="21">
        <f t="shared" si="10"/>
        <v>8</v>
      </c>
      <c r="H25" s="21">
        <f t="shared" si="10"/>
        <v>285</v>
      </c>
      <c r="I25" s="21">
        <f t="shared" si="10"/>
        <v>412.8</v>
      </c>
      <c r="J25" s="21">
        <f t="shared" si="10"/>
        <v>0</v>
      </c>
      <c r="K25" s="21"/>
      <c r="L25" s="21"/>
      <c r="M25" s="21">
        <f>M24+(M$28-M$23)/5</f>
        <v>1050</v>
      </c>
      <c r="N25" s="21"/>
      <c r="O25" s="24">
        <f aca="true" t="shared" si="11" ref="O25:O42">+O24</f>
        <v>2250</v>
      </c>
      <c r="P25" s="2"/>
    </row>
    <row r="26" spans="1:16" ht="15">
      <c r="A26" s="17">
        <v>2018</v>
      </c>
      <c r="B26" s="53"/>
      <c r="C26" s="21">
        <f t="shared" si="7"/>
        <v>2405</v>
      </c>
      <c r="D26" s="21">
        <f t="shared" si="9"/>
        <v>2320</v>
      </c>
      <c r="E26" s="21">
        <f t="shared" si="9"/>
        <v>19.400000000000002</v>
      </c>
      <c r="F26" s="21">
        <f t="shared" si="10"/>
        <v>18</v>
      </c>
      <c r="G26" s="21">
        <f t="shared" si="10"/>
        <v>12</v>
      </c>
      <c r="H26" s="21">
        <f t="shared" si="10"/>
        <v>315</v>
      </c>
      <c r="I26" s="21">
        <f t="shared" si="10"/>
        <v>540.8</v>
      </c>
      <c r="J26" s="21">
        <f t="shared" si="10"/>
        <v>0</v>
      </c>
      <c r="K26" s="21"/>
      <c r="L26" s="21"/>
      <c r="M26" s="21">
        <f>M25+(M$28-M$23)/5</f>
        <v>1100</v>
      </c>
      <c r="N26" s="21"/>
      <c r="O26" s="24">
        <f t="shared" si="11"/>
        <v>2250</v>
      </c>
      <c r="P26" s="2"/>
    </row>
    <row r="27" spans="1:16" ht="15">
      <c r="A27" s="17">
        <v>2019</v>
      </c>
      <c r="B27" s="53"/>
      <c r="C27" s="21">
        <f t="shared" si="7"/>
        <v>2667.5</v>
      </c>
      <c r="D27" s="21">
        <f t="shared" si="9"/>
        <v>2610</v>
      </c>
      <c r="E27" s="21">
        <f t="shared" si="9"/>
        <v>24.700000000000003</v>
      </c>
      <c r="F27" s="21">
        <f t="shared" si="10"/>
        <v>24</v>
      </c>
      <c r="G27" s="21">
        <f t="shared" si="10"/>
        <v>16</v>
      </c>
      <c r="H27" s="21">
        <f t="shared" si="10"/>
        <v>345</v>
      </c>
      <c r="I27" s="21">
        <f t="shared" si="10"/>
        <v>668.8</v>
      </c>
      <c r="J27" s="21">
        <f t="shared" si="10"/>
        <v>0</v>
      </c>
      <c r="K27" s="21"/>
      <c r="L27" s="21"/>
      <c r="M27" s="21">
        <f>M26+(M$28-M$23)/5</f>
        <v>1150</v>
      </c>
      <c r="N27" s="21"/>
      <c r="O27" s="24">
        <f t="shared" si="11"/>
        <v>2250</v>
      </c>
      <c r="P27" s="2"/>
    </row>
    <row r="28" spans="1:22" ht="15.75" thickBot="1">
      <c r="A28" s="38">
        <v>2020</v>
      </c>
      <c r="B28" s="58"/>
      <c r="C28" s="39">
        <f aca="true" t="shared" si="12" ref="C28:J28">+C15</f>
        <v>2930</v>
      </c>
      <c r="D28" s="39">
        <f t="shared" si="12"/>
        <v>2900</v>
      </c>
      <c r="E28" s="39">
        <f t="shared" si="12"/>
        <v>30</v>
      </c>
      <c r="F28" s="39">
        <f t="shared" si="12"/>
        <v>30</v>
      </c>
      <c r="G28" s="39">
        <f t="shared" si="12"/>
        <v>20</v>
      </c>
      <c r="H28" s="39">
        <f t="shared" si="12"/>
        <v>375</v>
      </c>
      <c r="I28" s="39">
        <f t="shared" si="12"/>
        <v>796.8</v>
      </c>
      <c r="J28" s="39">
        <f t="shared" si="12"/>
        <v>0</v>
      </c>
      <c r="K28" s="40"/>
      <c r="L28" s="40"/>
      <c r="M28" s="39">
        <f>+M15</f>
        <v>1200</v>
      </c>
      <c r="N28" s="40"/>
      <c r="O28" s="41">
        <f t="shared" si="11"/>
        <v>2250</v>
      </c>
      <c r="P28" s="2"/>
      <c r="T28" s="2"/>
      <c r="U28" s="2"/>
      <c r="V28" s="2"/>
    </row>
    <row r="29" spans="1:22" ht="15">
      <c r="A29" s="16">
        <v>2021</v>
      </c>
      <c r="B29" s="52"/>
      <c r="C29" s="22">
        <f>C28</f>
        <v>2930</v>
      </c>
      <c r="D29" s="22">
        <f aca="true" t="shared" si="13" ref="D29:J29">D28</f>
        <v>2900</v>
      </c>
      <c r="E29" s="22">
        <f t="shared" si="13"/>
        <v>30</v>
      </c>
      <c r="F29" s="22">
        <f t="shared" si="13"/>
        <v>30</v>
      </c>
      <c r="G29" s="22">
        <f t="shared" si="13"/>
        <v>20</v>
      </c>
      <c r="H29" s="22">
        <f t="shared" si="13"/>
        <v>375</v>
      </c>
      <c r="I29" s="22">
        <f t="shared" si="13"/>
        <v>796.8</v>
      </c>
      <c r="J29" s="22">
        <f t="shared" si="13"/>
        <v>0</v>
      </c>
      <c r="K29" s="22"/>
      <c r="L29" s="22"/>
      <c r="M29" s="22">
        <f aca="true" t="shared" si="14" ref="M29:M42">M28</f>
        <v>1200</v>
      </c>
      <c r="N29" s="22"/>
      <c r="O29" s="23">
        <f t="shared" si="11"/>
        <v>2250</v>
      </c>
      <c r="P29" s="2"/>
      <c r="T29" s="5"/>
      <c r="U29" s="5"/>
      <c r="V29" s="5"/>
    </row>
    <row r="30" spans="1:16" ht="15">
      <c r="A30" s="17">
        <v>2022</v>
      </c>
      <c r="B30" s="53"/>
      <c r="C30" s="21">
        <f aca="true" t="shared" si="15" ref="C30:C42">C29</f>
        <v>2930</v>
      </c>
      <c r="D30" s="21">
        <f aca="true" t="shared" si="16" ref="D30:D42">D29</f>
        <v>2900</v>
      </c>
      <c r="E30" s="21">
        <f aca="true" t="shared" si="17" ref="E30:E42">E29</f>
        <v>30</v>
      </c>
      <c r="F30" s="21">
        <f aca="true" t="shared" si="18" ref="F30:F42">F29</f>
        <v>30</v>
      </c>
      <c r="G30" s="21">
        <f aca="true" t="shared" si="19" ref="G30:G42">G29</f>
        <v>20</v>
      </c>
      <c r="H30" s="21">
        <f aca="true" t="shared" si="20" ref="H30:H42">H29</f>
        <v>375</v>
      </c>
      <c r="I30" s="21">
        <f aca="true" t="shared" si="21" ref="I30:I42">I29</f>
        <v>796.8</v>
      </c>
      <c r="J30" s="21">
        <f aca="true" t="shared" si="22" ref="J30:J42">J29</f>
        <v>0</v>
      </c>
      <c r="K30" s="21"/>
      <c r="L30" s="21"/>
      <c r="M30" s="21">
        <f t="shared" si="14"/>
        <v>1200</v>
      </c>
      <c r="N30" s="21"/>
      <c r="O30" s="24">
        <f t="shared" si="11"/>
        <v>2250</v>
      </c>
      <c r="P30" s="2"/>
    </row>
    <row r="31" spans="1:16" ht="15">
      <c r="A31" s="17">
        <v>2023</v>
      </c>
      <c r="B31" s="53"/>
      <c r="C31" s="21">
        <f t="shared" si="15"/>
        <v>2930</v>
      </c>
      <c r="D31" s="21">
        <f t="shared" si="16"/>
        <v>2900</v>
      </c>
      <c r="E31" s="21">
        <f t="shared" si="17"/>
        <v>30</v>
      </c>
      <c r="F31" s="21">
        <f t="shared" si="18"/>
        <v>30</v>
      </c>
      <c r="G31" s="21">
        <f t="shared" si="19"/>
        <v>20</v>
      </c>
      <c r="H31" s="21">
        <f t="shared" si="20"/>
        <v>375</v>
      </c>
      <c r="I31" s="21">
        <f t="shared" si="21"/>
        <v>796.8</v>
      </c>
      <c r="J31" s="21">
        <f t="shared" si="22"/>
        <v>0</v>
      </c>
      <c r="K31" s="21"/>
      <c r="L31" s="21"/>
      <c r="M31" s="21">
        <f t="shared" si="14"/>
        <v>1200</v>
      </c>
      <c r="N31" s="21"/>
      <c r="O31" s="24">
        <f t="shared" si="11"/>
        <v>2250</v>
      </c>
      <c r="P31" s="2"/>
    </row>
    <row r="32" spans="1:16" ht="15">
      <c r="A32" s="17">
        <v>2024</v>
      </c>
      <c r="B32" s="53"/>
      <c r="C32" s="21">
        <f t="shared" si="15"/>
        <v>2930</v>
      </c>
      <c r="D32" s="21">
        <f t="shared" si="16"/>
        <v>2900</v>
      </c>
      <c r="E32" s="21">
        <f t="shared" si="17"/>
        <v>30</v>
      </c>
      <c r="F32" s="21">
        <f t="shared" si="18"/>
        <v>30</v>
      </c>
      <c r="G32" s="21">
        <f t="shared" si="19"/>
        <v>20</v>
      </c>
      <c r="H32" s="21">
        <f t="shared" si="20"/>
        <v>375</v>
      </c>
      <c r="I32" s="21">
        <f t="shared" si="21"/>
        <v>796.8</v>
      </c>
      <c r="J32" s="21">
        <f t="shared" si="22"/>
        <v>0</v>
      </c>
      <c r="K32" s="21"/>
      <c r="L32" s="21"/>
      <c r="M32" s="21">
        <f t="shared" si="14"/>
        <v>1200</v>
      </c>
      <c r="N32" s="21"/>
      <c r="O32" s="24">
        <f t="shared" si="11"/>
        <v>2250</v>
      </c>
      <c r="P32" s="2"/>
    </row>
    <row r="33" spans="1:16" ht="15">
      <c r="A33" s="17">
        <v>2025</v>
      </c>
      <c r="B33" s="53"/>
      <c r="C33" s="21">
        <f t="shared" si="15"/>
        <v>2930</v>
      </c>
      <c r="D33" s="21">
        <f t="shared" si="16"/>
        <v>2900</v>
      </c>
      <c r="E33" s="21">
        <f t="shared" si="17"/>
        <v>30</v>
      </c>
      <c r="F33" s="21">
        <f t="shared" si="18"/>
        <v>30</v>
      </c>
      <c r="G33" s="21">
        <f t="shared" si="19"/>
        <v>20</v>
      </c>
      <c r="H33" s="21">
        <f t="shared" si="20"/>
        <v>375</v>
      </c>
      <c r="I33" s="21">
        <f t="shared" si="21"/>
        <v>796.8</v>
      </c>
      <c r="J33" s="21">
        <f t="shared" si="22"/>
        <v>0</v>
      </c>
      <c r="K33" s="21"/>
      <c r="L33" s="21"/>
      <c r="M33" s="21">
        <f t="shared" si="14"/>
        <v>1200</v>
      </c>
      <c r="N33" s="21"/>
      <c r="O33" s="24">
        <f t="shared" si="11"/>
        <v>2250</v>
      </c>
      <c r="P33" s="2"/>
    </row>
    <row r="34" spans="1:16" ht="15">
      <c r="A34" s="17">
        <v>2026</v>
      </c>
      <c r="B34" s="53"/>
      <c r="C34" s="21">
        <f t="shared" si="15"/>
        <v>2930</v>
      </c>
      <c r="D34" s="21">
        <f t="shared" si="16"/>
        <v>2900</v>
      </c>
      <c r="E34" s="21">
        <f t="shared" si="17"/>
        <v>30</v>
      </c>
      <c r="F34" s="21">
        <f t="shared" si="18"/>
        <v>30</v>
      </c>
      <c r="G34" s="21">
        <f t="shared" si="19"/>
        <v>20</v>
      </c>
      <c r="H34" s="21">
        <f t="shared" si="20"/>
        <v>375</v>
      </c>
      <c r="I34" s="21">
        <f t="shared" si="21"/>
        <v>796.8</v>
      </c>
      <c r="J34" s="21">
        <f t="shared" si="22"/>
        <v>0</v>
      </c>
      <c r="K34" s="21"/>
      <c r="L34" s="21"/>
      <c r="M34" s="21">
        <f t="shared" si="14"/>
        <v>1200</v>
      </c>
      <c r="N34" s="21"/>
      <c r="O34" s="24">
        <f t="shared" si="11"/>
        <v>2250</v>
      </c>
      <c r="P34" s="2"/>
    </row>
    <row r="35" spans="1:16" ht="15">
      <c r="A35" s="17">
        <v>2027</v>
      </c>
      <c r="B35" s="53"/>
      <c r="C35" s="21">
        <f t="shared" si="15"/>
        <v>2930</v>
      </c>
      <c r="D35" s="21">
        <f t="shared" si="16"/>
        <v>2900</v>
      </c>
      <c r="E35" s="21">
        <f t="shared" si="17"/>
        <v>30</v>
      </c>
      <c r="F35" s="21">
        <f t="shared" si="18"/>
        <v>30</v>
      </c>
      <c r="G35" s="21">
        <f t="shared" si="19"/>
        <v>20</v>
      </c>
      <c r="H35" s="21">
        <f t="shared" si="20"/>
        <v>375</v>
      </c>
      <c r="I35" s="21">
        <f t="shared" si="21"/>
        <v>796.8</v>
      </c>
      <c r="J35" s="21">
        <f t="shared" si="22"/>
        <v>0</v>
      </c>
      <c r="K35" s="21"/>
      <c r="L35" s="21"/>
      <c r="M35" s="21">
        <f t="shared" si="14"/>
        <v>1200</v>
      </c>
      <c r="N35" s="21"/>
      <c r="O35" s="24">
        <f t="shared" si="11"/>
        <v>2250</v>
      </c>
      <c r="P35" s="2"/>
    </row>
    <row r="36" spans="1:16" ht="15">
      <c r="A36" s="17">
        <v>2028</v>
      </c>
      <c r="B36" s="53"/>
      <c r="C36" s="21">
        <f t="shared" si="15"/>
        <v>2930</v>
      </c>
      <c r="D36" s="21">
        <f t="shared" si="16"/>
        <v>2900</v>
      </c>
      <c r="E36" s="21">
        <f t="shared" si="17"/>
        <v>30</v>
      </c>
      <c r="F36" s="21">
        <f t="shared" si="18"/>
        <v>30</v>
      </c>
      <c r="G36" s="21">
        <f t="shared" si="19"/>
        <v>20</v>
      </c>
      <c r="H36" s="21">
        <f t="shared" si="20"/>
        <v>375</v>
      </c>
      <c r="I36" s="21">
        <f t="shared" si="21"/>
        <v>796.8</v>
      </c>
      <c r="J36" s="21">
        <f t="shared" si="22"/>
        <v>0</v>
      </c>
      <c r="K36" s="21"/>
      <c r="L36" s="21"/>
      <c r="M36" s="21">
        <f t="shared" si="14"/>
        <v>1200</v>
      </c>
      <c r="N36" s="21"/>
      <c r="O36" s="24">
        <f t="shared" si="11"/>
        <v>2250</v>
      </c>
      <c r="P36" s="2"/>
    </row>
    <row r="37" spans="1:16" ht="15">
      <c r="A37" s="17">
        <v>2029</v>
      </c>
      <c r="B37" s="53"/>
      <c r="C37" s="21">
        <f t="shared" si="15"/>
        <v>2930</v>
      </c>
      <c r="D37" s="21">
        <f t="shared" si="16"/>
        <v>2900</v>
      </c>
      <c r="E37" s="21">
        <f t="shared" si="17"/>
        <v>30</v>
      </c>
      <c r="F37" s="21">
        <f t="shared" si="18"/>
        <v>30</v>
      </c>
      <c r="G37" s="21">
        <f t="shared" si="19"/>
        <v>20</v>
      </c>
      <c r="H37" s="21">
        <f t="shared" si="20"/>
        <v>375</v>
      </c>
      <c r="I37" s="21">
        <f t="shared" si="21"/>
        <v>796.8</v>
      </c>
      <c r="J37" s="21">
        <f t="shared" si="22"/>
        <v>0</v>
      </c>
      <c r="K37" s="21"/>
      <c r="L37" s="21"/>
      <c r="M37" s="21">
        <f t="shared" si="14"/>
        <v>1200</v>
      </c>
      <c r="N37" s="21"/>
      <c r="O37" s="24">
        <f t="shared" si="11"/>
        <v>2250</v>
      </c>
      <c r="P37" s="2"/>
    </row>
    <row r="38" spans="1:16" ht="15">
      <c r="A38" s="17">
        <v>2030</v>
      </c>
      <c r="B38" s="53"/>
      <c r="C38" s="21">
        <f t="shared" si="15"/>
        <v>2930</v>
      </c>
      <c r="D38" s="21">
        <f t="shared" si="16"/>
        <v>2900</v>
      </c>
      <c r="E38" s="21">
        <f t="shared" si="17"/>
        <v>30</v>
      </c>
      <c r="F38" s="21">
        <f t="shared" si="18"/>
        <v>30</v>
      </c>
      <c r="G38" s="21">
        <f t="shared" si="19"/>
        <v>20</v>
      </c>
      <c r="H38" s="21">
        <f t="shared" si="20"/>
        <v>375</v>
      </c>
      <c r="I38" s="21">
        <f t="shared" si="21"/>
        <v>796.8</v>
      </c>
      <c r="J38" s="21">
        <f t="shared" si="22"/>
        <v>0</v>
      </c>
      <c r="K38" s="21"/>
      <c r="L38" s="21"/>
      <c r="M38" s="21">
        <f t="shared" si="14"/>
        <v>1200</v>
      </c>
      <c r="N38" s="21"/>
      <c r="O38" s="24">
        <f t="shared" si="11"/>
        <v>2250</v>
      </c>
      <c r="P38" s="2"/>
    </row>
    <row r="39" spans="1:16" ht="15">
      <c r="A39" s="17">
        <v>2031</v>
      </c>
      <c r="B39" s="53"/>
      <c r="C39" s="21">
        <f t="shared" si="15"/>
        <v>2930</v>
      </c>
      <c r="D39" s="21">
        <f t="shared" si="16"/>
        <v>2900</v>
      </c>
      <c r="E39" s="21">
        <f t="shared" si="17"/>
        <v>30</v>
      </c>
      <c r="F39" s="21">
        <f t="shared" si="18"/>
        <v>30</v>
      </c>
      <c r="G39" s="21">
        <f t="shared" si="19"/>
        <v>20</v>
      </c>
      <c r="H39" s="21">
        <f t="shared" si="20"/>
        <v>375</v>
      </c>
      <c r="I39" s="21">
        <f t="shared" si="21"/>
        <v>796.8</v>
      </c>
      <c r="J39" s="21">
        <f t="shared" si="22"/>
        <v>0</v>
      </c>
      <c r="K39" s="21"/>
      <c r="L39" s="21"/>
      <c r="M39" s="21">
        <f t="shared" si="14"/>
        <v>1200</v>
      </c>
      <c r="N39" s="21"/>
      <c r="O39" s="24">
        <f t="shared" si="11"/>
        <v>2250</v>
      </c>
      <c r="P39" s="2"/>
    </row>
    <row r="40" spans="1:16" ht="15">
      <c r="A40" s="17">
        <v>2032</v>
      </c>
      <c r="B40" s="53"/>
      <c r="C40" s="21">
        <f t="shared" si="15"/>
        <v>2930</v>
      </c>
      <c r="D40" s="21">
        <f t="shared" si="16"/>
        <v>2900</v>
      </c>
      <c r="E40" s="21">
        <f t="shared" si="17"/>
        <v>30</v>
      </c>
      <c r="F40" s="21">
        <f t="shared" si="18"/>
        <v>30</v>
      </c>
      <c r="G40" s="21">
        <f t="shared" si="19"/>
        <v>20</v>
      </c>
      <c r="H40" s="21">
        <f t="shared" si="20"/>
        <v>375</v>
      </c>
      <c r="I40" s="21">
        <f t="shared" si="21"/>
        <v>796.8</v>
      </c>
      <c r="J40" s="21">
        <f t="shared" si="22"/>
        <v>0</v>
      </c>
      <c r="K40" s="21"/>
      <c r="L40" s="21"/>
      <c r="M40" s="21">
        <f t="shared" si="14"/>
        <v>1200</v>
      </c>
      <c r="N40" s="21"/>
      <c r="O40" s="24">
        <f t="shared" si="11"/>
        <v>2250</v>
      </c>
      <c r="P40" s="2"/>
    </row>
    <row r="41" spans="1:16" ht="15">
      <c r="A41" s="17">
        <v>2033</v>
      </c>
      <c r="B41" s="53"/>
      <c r="C41" s="21">
        <f t="shared" si="15"/>
        <v>2930</v>
      </c>
      <c r="D41" s="21">
        <f t="shared" si="16"/>
        <v>2900</v>
      </c>
      <c r="E41" s="21">
        <f t="shared" si="17"/>
        <v>30</v>
      </c>
      <c r="F41" s="21">
        <f t="shared" si="18"/>
        <v>30</v>
      </c>
      <c r="G41" s="21">
        <f t="shared" si="19"/>
        <v>20</v>
      </c>
      <c r="H41" s="21">
        <f t="shared" si="20"/>
        <v>375</v>
      </c>
      <c r="I41" s="21">
        <f t="shared" si="21"/>
        <v>796.8</v>
      </c>
      <c r="J41" s="21">
        <f t="shared" si="22"/>
        <v>0</v>
      </c>
      <c r="K41" s="21"/>
      <c r="L41" s="21"/>
      <c r="M41" s="21">
        <f t="shared" si="14"/>
        <v>1200</v>
      </c>
      <c r="N41" s="21"/>
      <c r="O41" s="24">
        <f t="shared" si="11"/>
        <v>2250</v>
      </c>
      <c r="P41" s="2"/>
    </row>
    <row r="42" spans="1:16" ht="15">
      <c r="A42" s="17">
        <v>2034</v>
      </c>
      <c r="B42" s="58"/>
      <c r="C42" s="21">
        <f t="shared" si="15"/>
        <v>2930</v>
      </c>
      <c r="D42" s="21">
        <f t="shared" si="16"/>
        <v>2900</v>
      </c>
      <c r="E42" s="21">
        <f t="shared" si="17"/>
        <v>30</v>
      </c>
      <c r="F42" s="21">
        <f t="shared" si="18"/>
        <v>30</v>
      </c>
      <c r="G42" s="21">
        <f t="shared" si="19"/>
        <v>20</v>
      </c>
      <c r="H42" s="21">
        <f t="shared" si="20"/>
        <v>375</v>
      </c>
      <c r="I42" s="21">
        <f t="shared" si="21"/>
        <v>796.8</v>
      </c>
      <c r="J42" s="21">
        <f t="shared" si="22"/>
        <v>0</v>
      </c>
      <c r="K42" s="21"/>
      <c r="L42" s="21"/>
      <c r="M42" s="21">
        <f t="shared" si="14"/>
        <v>1200</v>
      </c>
      <c r="N42" s="21"/>
      <c r="O42" s="24">
        <f t="shared" si="11"/>
        <v>2250</v>
      </c>
      <c r="P42" s="2"/>
    </row>
    <row r="43" spans="1:16" ht="15.75" thickBot="1">
      <c r="A43" s="18">
        <v>2035</v>
      </c>
      <c r="B43" s="54"/>
      <c r="C43" s="25">
        <f>C41</f>
        <v>2930</v>
      </c>
      <c r="D43" s="25">
        <f>D41</f>
        <v>2900</v>
      </c>
      <c r="E43" s="25">
        <f>E41</f>
        <v>30</v>
      </c>
      <c r="F43" s="25">
        <f>F41</f>
        <v>30</v>
      </c>
      <c r="G43" s="25">
        <f>G41</f>
        <v>20</v>
      </c>
      <c r="H43" s="25">
        <f>H41</f>
        <v>375</v>
      </c>
      <c r="I43" s="25">
        <f>I41</f>
        <v>796.8</v>
      </c>
      <c r="J43" s="25">
        <f>J41</f>
        <v>0</v>
      </c>
      <c r="K43" s="25"/>
      <c r="L43" s="25"/>
      <c r="M43" s="25">
        <f>M41</f>
        <v>1200</v>
      </c>
      <c r="N43" s="25"/>
      <c r="O43" s="26">
        <f>+O41</f>
        <v>2250</v>
      </c>
      <c r="P43" s="2"/>
    </row>
    <row r="44" spans="3:16" ht="15">
      <c r="C44" s="2"/>
      <c r="D44" s="2"/>
      <c r="E44" s="2"/>
      <c r="F44" s="2"/>
      <c r="G44" s="2"/>
      <c r="H44" s="2"/>
      <c r="I44" s="2"/>
      <c r="J44" s="2"/>
      <c r="K44" s="2"/>
      <c r="L44" s="2"/>
      <c r="M44" s="2"/>
      <c r="N44" s="2"/>
      <c r="O44" s="2"/>
      <c r="P44" s="2"/>
    </row>
    <row r="45" ht="19.5" thickBot="1">
      <c r="C45" s="20" t="s">
        <v>37</v>
      </c>
    </row>
    <row r="46" spans="1:15" s="4" customFormat="1" ht="15.75" thickBot="1">
      <c r="A46" s="43" t="s">
        <v>14</v>
      </c>
      <c r="B46" s="59"/>
      <c r="C46" s="44">
        <f>SUM(C18:C45)</f>
        <v>61285</v>
      </c>
      <c r="D46" s="44">
        <f aca="true" t="shared" si="23" ref="D46:J46">SUM(D18:D45)</f>
        <v>56550</v>
      </c>
      <c r="E46" s="44">
        <f t="shared" si="23"/>
        <v>554</v>
      </c>
      <c r="F46" s="44">
        <f t="shared" si="23"/>
        <v>540</v>
      </c>
      <c r="G46" s="44">
        <f t="shared" si="23"/>
        <v>360</v>
      </c>
      <c r="H46" s="44">
        <f t="shared" si="23"/>
        <v>7775</v>
      </c>
      <c r="I46" s="44">
        <f t="shared" si="23"/>
        <v>15041.599999999995</v>
      </c>
      <c r="J46" s="45">
        <f t="shared" si="23"/>
        <v>0</v>
      </c>
      <c r="K46" s="44">
        <f>SUM(C46:J46)</f>
        <v>142105.6</v>
      </c>
      <c r="L46" s="45"/>
      <c r="M46" s="44">
        <f>SUM(M18:M45)</f>
        <v>26587.5</v>
      </c>
      <c r="N46" s="45"/>
      <c r="O46" s="46">
        <f>SUM(O18:O45)</f>
        <v>47250</v>
      </c>
    </row>
    <row r="47" spans="11:15" ht="15">
      <c r="K47" s="3">
        <f>K46/SUM($K$46:$O$46)</f>
        <v>0.6580696489028823</v>
      </c>
      <c r="L47" s="3"/>
      <c r="M47" s="3">
        <f>M46/SUM($K$46:$O$46)</f>
        <v>0.12312271149205507</v>
      </c>
      <c r="N47" s="3"/>
      <c r="O47" s="3">
        <f>O46/SUM($K$46:$O$46)</f>
        <v>0.21880763960506264</v>
      </c>
    </row>
    <row r="48" spans="3:15" ht="19.5" thickBot="1">
      <c r="C48" s="20" t="s">
        <v>22</v>
      </c>
      <c r="K48" s="3"/>
      <c r="L48" s="3"/>
      <c r="M48" s="3"/>
      <c r="N48" s="3"/>
      <c r="O48" s="3"/>
    </row>
    <row r="49" spans="1:15" ht="15.75" thickBot="1">
      <c r="A49" s="47" t="s">
        <v>15</v>
      </c>
      <c r="B49" s="60"/>
      <c r="C49" s="48">
        <v>0.08</v>
      </c>
      <c r="D49" s="48">
        <v>0.13</v>
      </c>
      <c r="E49" s="48">
        <v>0.15</v>
      </c>
      <c r="F49" s="48">
        <v>0.15</v>
      </c>
      <c r="G49" s="48">
        <v>0.06</v>
      </c>
      <c r="H49" s="48">
        <v>0.4</v>
      </c>
      <c r="I49" s="48">
        <v>0.04</v>
      </c>
      <c r="J49" s="48">
        <v>0.04</v>
      </c>
      <c r="K49" s="48"/>
      <c r="L49" s="48"/>
      <c r="M49" s="48"/>
      <c r="N49" s="48"/>
      <c r="O49" s="49">
        <f>30/1000</f>
        <v>0.03</v>
      </c>
    </row>
    <row r="50" spans="1:15" s="50" customFormat="1" ht="12.75">
      <c r="A50" s="50" t="s">
        <v>16</v>
      </c>
      <c r="C50" s="74">
        <f>+C49/30*1000</f>
        <v>2.6666666666666665</v>
      </c>
      <c r="D50" s="74">
        <f aca="true" t="shared" si="24" ref="D50:J50">+D49/30*1000</f>
        <v>4.333333333333333</v>
      </c>
      <c r="E50" s="74">
        <f t="shared" si="24"/>
        <v>5</v>
      </c>
      <c r="F50" s="74">
        <f t="shared" si="24"/>
        <v>5</v>
      </c>
      <c r="G50" s="74">
        <f t="shared" si="24"/>
        <v>2</v>
      </c>
      <c r="H50" s="74">
        <f t="shared" si="24"/>
        <v>13.333333333333334</v>
      </c>
      <c r="I50" s="74">
        <f t="shared" si="24"/>
        <v>1.3333333333333333</v>
      </c>
      <c r="J50" s="74">
        <f t="shared" si="24"/>
        <v>1.3333333333333333</v>
      </c>
      <c r="K50" s="74"/>
      <c r="L50" s="74"/>
      <c r="M50" s="74"/>
      <c r="N50" s="74"/>
      <c r="O50" s="74">
        <f>+O49/30*1000</f>
        <v>1</v>
      </c>
    </row>
    <row r="51" s="7" customFormat="1" ht="15"/>
    <row r="52" s="7" customFormat="1" ht="19.5" thickBot="1">
      <c r="C52" s="20" t="s">
        <v>23</v>
      </c>
    </row>
    <row r="53" spans="1:15" s="2" customFormat="1" ht="15.75" thickBot="1">
      <c r="A53" s="51" t="s">
        <v>4</v>
      </c>
      <c r="B53" s="61"/>
      <c r="C53" s="44">
        <f>10*C28*C49+(C46-10*C28)*0.055</f>
        <v>4103.175</v>
      </c>
      <c r="D53" s="44">
        <f>10*D28*D49+(D46-10*D28)*0.08</f>
        <v>5974</v>
      </c>
      <c r="E53" s="44">
        <f aca="true" t="shared" si="25" ref="E53:J53">+E49*E46</f>
        <v>83.1</v>
      </c>
      <c r="F53" s="44">
        <f t="shared" si="25"/>
        <v>81</v>
      </c>
      <c r="G53" s="44">
        <f t="shared" si="25"/>
        <v>21.599999999999998</v>
      </c>
      <c r="H53" s="44">
        <f t="shared" si="25"/>
        <v>3110</v>
      </c>
      <c r="I53" s="44">
        <f t="shared" si="25"/>
        <v>601.6639999999998</v>
      </c>
      <c r="J53" s="44">
        <f t="shared" si="25"/>
        <v>0</v>
      </c>
      <c r="K53" s="44">
        <f>SUM(C53:J53)</f>
        <v>13974.539</v>
      </c>
      <c r="L53" s="44"/>
      <c r="M53" s="44">
        <v>1000</v>
      </c>
      <c r="N53" s="44"/>
      <c r="O53" s="46">
        <f>+O49*O46</f>
        <v>1417.5</v>
      </c>
    </row>
    <row r="55" spans="7:15" ht="15.75" customHeight="1" thickBot="1">
      <c r="G55" s="91" t="s">
        <v>26</v>
      </c>
      <c r="H55" s="91"/>
      <c r="I55" s="91"/>
      <c r="J55" s="91"/>
      <c r="K55" s="91"/>
      <c r="L55" s="91"/>
      <c r="M55" s="91"/>
      <c r="N55" s="91"/>
      <c r="O55" s="91"/>
    </row>
    <row r="56" spans="11:18" s="2" customFormat="1" ht="15.75" thickBot="1">
      <c r="K56" s="51">
        <f>+K53*1000000/K46/1000</f>
        <v>98.33911541839308</v>
      </c>
      <c r="L56" s="44"/>
      <c r="M56" s="44">
        <f>+M53*1000000/M46/1000</f>
        <v>37.61165961448049</v>
      </c>
      <c r="N56" s="44"/>
      <c r="O56" s="46">
        <f>+O53*1000000/O46/1000</f>
        <v>30</v>
      </c>
      <c r="R56" s="1"/>
    </row>
    <row r="57" ht="15">
      <c r="K57" s="78">
        <f>K56/M56</f>
        <v>2.6145912311865263</v>
      </c>
    </row>
    <row r="59" spans="1:15" ht="16.5" thickBot="1">
      <c r="A59" s="89" t="s">
        <v>24</v>
      </c>
      <c r="B59" s="90"/>
      <c r="C59" s="90"/>
      <c r="D59" s="90"/>
      <c r="E59" s="90"/>
      <c r="F59" s="90"/>
      <c r="G59" s="90"/>
      <c r="H59" s="90"/>
      <c r="I59" s="90"/>
      <c r="J59" s="90"/>
      <c r="K59" s="90"/>
      <c r="L59" s="90"/>
      <c r="M59" s="90"/>
      <c r="N59" s="90"/>
      <c r="O59" s="90"/>
    </row>
    <row r="60" spans="1:17" ht="15">
      <c r="A60" s="16" t="s">
        <v>25</v>
      </c>
      <c r="B60" s="79"/>
      <c r="C60" s="22">
        <f>C8</f>
        <v>4000</v>
      </c>
      <c r="D60" s="22">
        <f aca="true" t="shared" si="26" ref="D60:J60">D8</f>
        <v>2900</v>
      </c>
      <c r="E60" s="22">
        <f t="shared" si="26"/>
        <v>30</v>
      </c>
      <c r="F60" s="22">
        <f t="shared" si="26"/>
        <v>550</v>
      </c>
      <c r="G60" s="22">
        <f t="shared" si="26"/>
        <v>80</v>
      </c>
      <c r="H60" s="22">
        <f t="shared" si="26"/>
        <v>400</v>
      </c>
      <c r="I60" s="22">
        <f t="shared" si="26"/>
        <v>800</v>
      </c>
      <c r="J60" s="22">
        <f t="shared" si="26"/>
        <v>80</v>
      </c>
      <c r="K60" s="81">
        <f>SUM(C60:J60)</f>
        <v>8840</v>
      </c>
      <c r="M60" s="2"/>
      <c r="P60" s="2"/>
      <c r="Q60" s="2"/>
    </row>
    <row r="61" spans="1:11" ht="15.75" thickBot="1">
      <c r="A61" s="18" t="s">
        <v>4</v>
      </c>
      <c r="B61" s="80"/>
      <c r="C61" s="80">
        <f aca="true" t="shared" si="27" ref="C61:J61">C60*C49</f>
        <v>320</v>
      </c>
      <c r="D61" s="80">
        <f t="shared" si="27"/>
        <v>377</v>
      </c>
      <c r="E61" s="80">
        <f t="shared" si="27"/>
        <v>4.5</v>
      </c>
      <c r="F61" s="80">
        <f t="shared" si="27"/>
        <v>82.5</v>
      </c>
      <c r="G61" s="80">
        <f t="shared" si="27"/>
        <v>4.8</v>
      </c>
      <c r="H61" s="80">
        <f t="shared" si="27"/>
        <v>160</v>
      </c>
      <c r="I61" s="80">
        <f t="shared" si="27"/>
        <v>32</v>
      </c>
      <c r="J61" s="80">
        <f t="shared" si="27"/>
        <v>3.2</v>
      </c>
      <c r="K61" s="82">
        <f>SUM(C61:J61)</f>
        <v>984</v>
      </c>
    </row>
    <row r="62" ht="15">
      <c r="O62" s="2"/>
    </row>
    <row r="64" spans="1:17" ht="15">
      <c r="A64" t="s">
        <v>45</v>
      </c>
      <c r="O64" s="2"/>
      <c r="Q64" s="2"/>
    </row>
    <row r="65" spans="1:4" ht="15">
      <c r="A65" t="s">
        <v>17</v>
      </c>
      <c r="C65" s="83">
        <v>30</v>
      </c>
      <c r="D65" s="5">
        <f>C65/SUM($C$65:$C$67)</f>
        <v>0.22388059701492538</v>
      </c>
    </row>
    <row r="66" spans="1:17" ht="15">
      <c r="A66" t="s">
        <v>18</v>
      </c>
      <c r="C66" s="83">
        <v>50</v>
      </c>
      <c r="D66" s="5">
        <f>C66/SUM($C$65:$C$67)</f>
        <v>0.373134328358209</v>
      </c>
      <c r="O66" s="2"/>
      <c r="Q66" s="2"/>
    </row>
    <row r="67" spans="1:16" ht="15">
      <c r="A67" t="s">
        <v>19</v>
      </c>
      <c r="C67" s="83">
        <v>54</v>
      </c>
      <c r="D67" s="5">
        <f>C67/SUM($C$65:$C$67)</f>
        <v>0.40298507462686567</v>
      </c>
      <c r="P67" s="3"/>
    </row>
    <row r="68" spans="9:11" ht="15">
      <c r="I68" s="84" t="s">
        <v>38</v>
      </c>
      <c r="J68">
        <f>23500*O49</f>
        <v>705</v>
      </c>
      <c r="K68" t="s">
        <v>4</v>
      </c>
    </row>
    <row r="69" spans="9:11" ht="15">
      <c r="I69" s="84" t="s">
        <v>42</v>
      </c>
      <c r="J69">
        <f>(23500-K60)*O49+K61</f>
        <v>1423.8</v>
      </c>
      <c r="K69" t="s">
        <v>4</v>
      </c>
    </row>
    <row r="70" spans="9:11" ht="15">
      <c r="I70" s="84" t="s">
        <v>39</v>
      </c>
      <c r="J70">
        <f>J68/4*6</f>
        <v>1057.5</v>
      </c>
      <c r="K70" t="s">
        <v>4</v>
      </c>
    </row>
    <row r="72" spans="9:11" ht="15">
      <c r="I72" s="85" t="s">
        <v>40</v>
      </c>
      <c r="J72" s="86">
        <f>J68+J70</f>
        <v>1762.5</v>
      </c>
      <c r="K72" s="86" t="s">
        <v>4</v>
      </c>
    </row>
    <row r="73" spans="9:11" ht="15">
      <c r="I73" s="85" t="s">
        <v>41</v>
      </c>
      <c r="J73" s="86">
        <f>J69+J70</f>
        <v>2481.3</v>
      </c>
      <c r="K73" s="86" t="s">
        <v>4</v>
      </c>
    </row>
    <row r="74" spans="9:11" ht="15">
      <c r="I74" s="85" t="s">
        <v>43</v>
      </c>
      <c r="J74" s="87">
        <f>J73/J72-1</f>
        <v>0.4078297872340426</v>
      </c>
      <c r="K74" s="86"/>
    </row>
  </sheetData>
  <sheetProtection/>
  <mergeCells count="3">
    <mergeCell ref="A1:O1"/>
    <mergeCell ref="A59:O59"/>
    <mergeCell ref="G55:O55"/>
  </mergeCells>
  <printOptions/>
  <pageMargins left="0.7086614173228347" right="0.7086614173228347" top="0.7480314960629921" bottom="0.7480314960629921" header="0.31496062992125984" footer="0.31496062992125984"/>
  <pageSetup fitToHeight="2" fitToWidth="2" horizontalDpi="600" verticalDpi="600" orientation="portrait" paperSize="9" scale="62" r:id="rId4"/>
  <colBreaks count="1" manualBreakCount="1">
    <brk id="1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c:creator>
  <cp:keywords/>
  <dc:description/>
  <cp:lastModifiedBy>tfayret</cp:lastModifiedBy>
  <cp:lastPrinted>2011-03-31T08:07:52Z</cp:lastPrinted>
  <dcterms:created xsi:type="dcterms:W3CDTF">2011-02-15T20:05:05Z</dcterms:created>
  <dcterms:modified xsi:type="dcterms:W3CDTF">2011-03-31T08:21:49Z</dcterms:modified>
  <cp:category/>
  <cp:version/>
  <cp:contentType/>
  <cp:contentStatus/>
</cp:coreProperties>
</file>